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Q22" i="1" l="1"/>
  <c r="Q23" i="1"/>
  <c r="Q24" i="1"/>
  <c r="Q25" i="1"/>
  <c r="Q26" i="1"/>
  <c r="Q27" i="1"/>
  <c r="Q28" i="1"/>
  <c r="Q29" i="1"/>
  <c r="Q30" i="1"/>
  <c r="Q31" i="1"/>
  <c r="Q21" i="1"/>
  <c r="AD6" i="1"/>
  <c r="AD7" i="1" s="1"/>
  <c r="AD8" i="1" s="1"/>
  <c r="AD9" i="1" s="1"/>
  <c r="AD10" i="1" s="1"/>
  <c r="AD11" i="1" s="1"/>
  <c r="AD12" i="1" s="1"/>
  <c r="AD13" i="1" s="1"/>
  <c r="AD14" i="1" s="1"/>
  <c r="AD5" i="1"/>
  <c r="Y4" i="1"/>
  <c r="Y8" i="1"/>
  <c r="Y6" i="1"/>
  <c r="X14" i="1"/>
  <c r="X13" i="1"/>
  <c r="X12" i="1"/>
  <c r="X10" i="1"/>
  <c r="X8" i="1"/>
  <c r="X6" i="1"/>
  <c r="X5" i="1"/>
  <c r="X4" i="1"/>
  <c r="W14" i="1"/>
  <c r="W13" i="1"/>
  <c r="W11" i="1"/>
  <c r="W9" i="1"/>
  <c r="W7" i="1"/>
  <c r="W5" i="1"/>
  <c r="Z5" i="1"/>
  <c r="Y5" i="1"/>
  <c r="AA6" i="1"/>
  <c r="AA7" i="1"/>
  <c r="AA8" i="1"/>
  <c r="AA9" i="1"/>
  <c r="AA10" i="1"/>
  <c r="AA11" i="1"/>
  <c r="AA12" i="1"/>
  <c r="AA13" i="1"/>
  <c r="Y14" i="1"/>
  <c r="D14" i="1"/>
  <c r="Y13" i="1"/>
  <c r="D13" i="1"/>
  <c r="Y12" i="1"/>
  <c r="D12" i="1"/>
  <c r="Y11" i="1"/>
  <c r="D11" i="1"/>
  <c r="Y10" i="1"/>
  <c r="D10" i="1"/>
  <c r="Y9" i="1"/>
  <c r="D9" i="1"/>
  <c r="D8" i="1"/>
  <c r="Y7" i="1"/>
  <c r="D7" i="1"/>
  <c r="D6" i="1"/>
  <c r="AA5" i="1"/>
  <c r="D5" i="1"/>
  <c r="AH4" i="1"/>
  <c r="AA4" i="1"/>
  <c r="W4" i="1"/>
  <c r="D4" i="1"/>
  <c r="Z4" i="1" l="1"/>
  <c r="Z6" i="1" s="1"/>
  <c r="Z7" i="1" s="1"/>
  <c r="Z8" i="1" s="1"/>
  <c r="Z9" i="1" s="1"/>
  <c r="Z10" i="1" s="1"/>
  <c r="Z11" i="1" s="1"/>
  <c r="Z12" i="1" s="1"/>
  <c r="Z13" i="1" s="1"/>
  <c r="Z14" i="1" s="1"/>
  <c r="AD4" i="1"/>
  <c r="W6" i="1"/>
  <c r="W8" i="1"/>
  <c r="W10" i="1"/>
  <c r="W12" i="1"/>
  <c r="X7" i="1" l="1"/>
  <c r="X9" i="1" s="1"/>
  <c r="X11" i="1" s="1"/>
  <c r="AB14" i="1" s="1"/>
</calcChain>
</file>

<file path=xl/sharedStrings.xml><?xml version="1.0" encoding="utf-8"?>
<sst xmlns="http://schemas.openxmlformats.org/spreadsheetml/2006/main" count="40" uniqueCount="39">
  <si>
    <r>
      <rPr>
        <sz val="15"/>
        <rFont val="宋体"/>
        <family val="3"/>
        <charset val="134"/>
      </rPr>
      <t>附表</t>
    </r>
    <r>
      <rPr>
        <sz val="15"/>
        <rFont val="Times New Roman"/>
        <family val="1"/>
      </rPr>
      <t>1-2       2-2</t>
    </r>
    <r>
      <rPr>
        <sz val="15"/>
        <rFont val="宋体"/>
        <family val="3"/>
        <charset val="134"/>
      </rPr>
      <t>′剖面整体稳定性及剩余下滑推力计算表</t>
    </r>
    <r>
      <rPr>
        <sz val="15"/>
        <rFont val="Times New Roman"/>
        <family val="1"/>
      </rPr>
      <t xml:space="preserve"> </t>
    </r>
    <phoneticPr fontId="5" type="noConversion"/>
  </si>
  <si>
    <t>工况</t>
    <phoneticPr fontId="5" type="noConversion"/>
  </si>
  <si>
    <t>条块号</t>
    <phoneticPr fontId="5" type="noConversion"/>
  </si>
  <si>
    <t>条块
总面积(m2)</t>
    <phoneticPr fontId="5" type="noConversion"/>
  </si>
  <si>
    <r>
      <t>建筑荷载</t>
    </r>
    <r>
      <rPr>
        <sz val="10"/>
        <rFont val="Times New Roman"/>
        <family val="1"/>
      </rPr>
      <t>(KN/m)</t>
    </r>
  </si>
  <si>
    <t>条块重量(KN/m)</t>
  </si>
  <si>
    <t>条块水位高(m)</t>
  </si>
  <si>
    <t>滑面尺寸</t>
    <phoneticPr fontId="5" type="noConversion"/>
  </si>
  <si>
    <t>滑带抗剪强度</t>
    <phoneticPr fontId="5" type="noConversion"/>
  </si>
  <si>
    <t>静水
压力(KN/m)</t>
    <phoneticPr fontId="5" type="noConversion"/>
  </si>
  <si>
    <t>土体底部空隙压力(KN/m)</t>
  </si>
  <si>
    <t>下滑力(KN/m)</t>
  </si>
  <si>
    <t>累积
下滑力(KN/m)</t>
    <phoneticPr fontId="5" type="noConversion"/>
  </si>
  <si>
    <t>抗滑力(KN/m)</t>
  </si>
  <si>
    <t>累积
抗滑力(KN/m)</t>
    <phoneticPr fontId="5" type="noConversion"/>
  </si>
  <si>
    <t>传递
系数</t>
    <phoneticPr fontId="5" type="noConversion"/>
  </si>
  <si>
    <t>稳定
系数</t>
    <phoneticPr fontId="5" type="noConversion"/>
  </si>
  <si>
    <t>安全
系数</t>
    <phoneticPr fontId="5" type="noConversion"/>
  </si>
  <si>
    <t>剩余
下滑力(KN/m)</t>
    <phoneticPr fontId="5" type="noConversion"/>
  </si>
  <si>
    <t>饱和重度(KN/m3)</t>
    <phoneticPr fontId="5" type="noConversion"/>
  </si>
  <si>
    <t>现状面积(m2)wi1</t>
    <phoneticPr fontId="5" type="noConversion"/>
  </si>
  <si>
    <t>拟回填面积(m2)Wi2</t>
    <phoneticPr fontId="5" type="noConversion"/>
  </si>
  <si>
    <t>饱和重度(KN/m3)</t>
    <phoneticPr fontId="5" type="noConversion"/>
  </si>
  <si>
    <t>水下面积(m2)Wi3</t>
    <phoneticPr fontId="5" type="noConversion"/>
  </si>
  <si>
    <t>水重度(KN/m3)</t>
    <phoneticPr fontId="5" type="noConversion"/>
  </si>
  <si>
    <t>水面积(m2)Wi4</t>
    <phoneticPr fontId="5" type="noConversion"/>
  </si>
  <si>
    <t>靠山侧</t>
    <phoneticPr fontId="5" type="noConversion"/>
  </si>
  <si>
    <t>背山侧</t>
    <phoneticPr fontId="5" type="noConversion"/>
  </si>
  <si>
    <t>滑面长(m)</t>
  </si>
  <si>
    <t>滑面倾角(°)</t>
  </si>
  <si>
    <t>内聚力(KPa)</t>
  </si>
  <si>
    <t>内摩擦角(°)</t>
  </si>
  <si>
    <t>手算剩余下滑力</t>
    <phoneticPr fontId="5" type="noConversion"/>
  </si>
  <si>
    <t>计算书剩余下滑力（上端点为0）</t>
    <phoneticPr fontId="5" type="noConversion"/>
  </si>
  <si>
    <r>
      <t>G</t>
    </r>
    <r>
      <rPr>
        <sz val="12"/>
        <rFont val="宋体"/>
        <family val="3"/>
        <charset val="134"/>
      </rPr>
      <t>EO5桩后滑坡推力</t>
    </r>
    <phoneticPr fontId="5" type="noConversion"/>
  </si>
  <si>
    <t>自重</t>
    <phoneticPr fontId="5" type="noConversion"/>
  </si>
  <si>
    <t>GEO5</t>
    <phoneticPr fontId="2" type="noConversion"/>
  </si>
  <si>
    <t>手算</t>
    <phoneticPr fontId="2" type="noConversion"/>
  </si>
  <si>
    <t>误差（以手算）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</si>
</sst>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_);[Red]\(0.000\)"/>
    <numFmt numFmtId="178" formatCode="0_ "/>
  </numFmts>
  <fonts count="9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5"/>
      <name val="Times New Roman"/>
      <family val="1"/>
    </font>
    <font>
      <sz val="15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76" fontId="1" fillId="0" borderId="0" xfId="0" applyNumberFormat="1" applyFont="1" applyFill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>
      <alignment horizontal="center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Fill="1" applyBorder="1" applyAlignment="1">
      <alignment horizontal="center" vertical="center" wrapText="1"/>
    </xf>
    <xf numFmtId="176" fontId="1" fillId="2" borderId="0" xfId="0" applyNumberFormat="1" applyFont="1" applyFill="1" applyAlignment="1" applyProtection="1">
      <alignment vertical="center"/>
      <protection locked="0"/>
    </xf>
    <xf numFmtId="176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</cellXfs>
  <cellStyles count="1">
    <cellStyle name="常规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1"/>
  <sheetViews>
    <sheetView tabSelected="1" topLeftCell="A7" workbookViewId="0">
      <selection activeCell="Q31" sqref="C20:Q31"/>
    </sheetView>
  </sheetViews>
  <sheetFormatPr defaultRowHeight="13.5" x14ac:dyDescent="0.15"/>
  <cols>
    <col min="4" max="13" width="0" hidden="1" customWidth="1"/>
    <col min="15" max="16" width="0" hidden="1" customWidth="1"/>
    <col min="17" max="17" width="12.625" customWidth="1"/>
    <col min="21" max="22" width="0" hidden="1" customWidth="1"/>
  </cols>
  <sheetData>
    <row r="1" spans="2:41" s="1" customFormat="1" ht="27" customHeight="1" x14ac:dyDescent="0.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/>
      <c r="AF1" s="3"/>
    </row>
    <row r="2" spans="2:41" s="1" customFormat="1" ht="15.6" customHeight="1" x14ac:dyDescent="0.15">
      <c r="B2" s="4" t="s">
        <v>1</v>
      </c>
      <c r="C2" s="4" t="s">
        <v>2</v>
      </c>
      <c r="D2" s="4" t="s">
        <v>3</v>
      </c>
      <c r="E2" s="4"/>
      <c r="F2" s="5"/>
      <c r="G2" s="5"/>
      <c r="H2" s="5"/>
      <c r="I2" s="25"/>
      <c r="J2" s="26"/>
      <c r="K2" s="26"/>
      <c r="L2" s="27"/>
      <c r="M2" s="23" t="s">
        <v>4</v>
      </c>
      <c r="N2" s="4" t="s">
        <v>5</v>
      </c>
      <c r="O2" s="6" t="s">
        <v>6</v>
      </c>
      <c r="P2" s="7"/>
      <c r="Q2" s="6" t="s">
        <v>7</v>
      </c>
      <c r="R2" s="7"/>
      <c r="S2" s="4" t="s">
        <v>8</v>
      </c>
      <c r="T2" s="5"/>
      <c r="U2" s="4" t="s">
        <v>9</v>
      </c>
      <c r="V2" s="4" t="s">
        <v>10</v>
      </c>
      <c r="W2" s="4" t="s">
        <v>11</v>
      </c>
      <c r="X2" s="4" t="s">
        <v>12</v>
      </c>
      <c r="Y2" s="4" t="s">
        <v>13</v>
      </c>
      <c r="Z2" s="4" t="s">
        <v>14</v>
      </c>
      <c r="AA2" s="4" t="s">
        <v>15</v>
      </c>
      <c r="AB2" s="8" t="s">
        <v>16</v>
      </c>
      <c r="AC2" s="4" t="s">
        <v>17</v>
      </c>
      <c r="AD2" s="4" t="s">
        <v>18</v>
      </c>
      <c r="AE2" s="9"/>
      <c r="AF2" s="9"/>
    </row>
    <row r="3" spans="2:41" s="1" customFormat="1" ht="27.6" customHeight="1" x14ac:dyDescent="0.15">
      <c r="B3" s="5"/>
      <c r="C3" s="5"/>
      <c r="D3" s="5"/>
      <c r="E3" s="10" t="s">
        <v>19</v>
      </c>
      <c r="F3" s="10" t="s">
        <v>20</v>
      </c>
      <c r="G3" s="10" t="s">
        <v>19</v>
      </c>
      <c r="H3" s="10" t="s">
        <v>21</v>
      </c>
      <c r="I3" s="10" t="s">
        <v>22</v>
      </c>
      <c r="J3" s="10" t="s">
        <v>23</v>
      </c>
      <c r="K3" s="10" t="s">
        <v>24</v>
      </c>
      <c r="L3" s="10" t="s">
        <v>25</v>
      </c>
      <c r="M3" s="24"/>
      <c r="N3" s="5"/>
      <c r="O3" s="11" t="s">
        <v>26</v>
      </c>
      <c r="P3" s="11" t="s">
        <v>27</v>
      </c>
      <c r="Q3" s="10" t="s">
        <v>28</v>
      </c>
      <c r="R3" s="10" t="s">
        <v>29</v>
      </c>
      <c r="S3" s="10" t="s">
        <v>30</v>
      </c>
      <c r="T3" s="10" t="s">
        <v>31</v>
      </c>
      <c r="U3" s="5"/>
      <c r="V3" s="5"/>
      <c r="W3" s="5"/>
      <c r="X3" s="5"/>
      <c r="Y3" s="5"/>
      <c r="Z3" s="5"/>
      <c r="AA3" s="5"/>
      <c r="AB3" s="12"/>
      <c r="AC3" s="5"/>
      <c r="AD3" s="5"/>
      <c r="AE3" s="13"/>
      <c r="AF3" s="9"/>
      <c r="AM3" s="1" t="s">
        <v>32</v>
      </c>
      <c r="AN3" s="1" t="s">
        <v>33</v>
      </c>
      <c r="AO3" s="1" t="s">
        <v>34</v>
      </c>
    </row>
    <row r="4" spans="2:41" s="1" customFormat="1" ht="14.25" x14ac:dyDescent="0.2">
      <c r="B4" s="4" t="s">
        <v>35</v>
      </c>
      <c r="C4" s="14">
        <v>1</v>
      </c>
      <c r="D4" s="15">
        <f>F4+H4+J4+L4</f>
        <v>46.22</v>
      </c>
      <c r="E4" s="16">
        <v>20.420000000000002</v>
      </c>
      <c r="F4" s="17">
        <v>46.22</v>
      </c>
      <c r="G4" s="16"/>
      <c r="H4" s="16"/>
      <c r="I4" s="16"/>
      <c r="J4" s="16"/>
      <c r="K4" s="16"/>
      <c r="L4" s="16"/>
      <c r="M4" s="18"/>
      <c r="N4" s="28">
        <v>796.61</v>
      </c>
      <c r="O4" s="29"/>
      <c r="P4" s="29"/>
      <c r="Q4" s="30">
        <v>18.95</v>
      </c>
      <c r="R4" s="30">
        <v>38.9</v>
      </c>
      <c r="S4" s="17">
        <v>13.38</v>
      </c>
      <c r="T4" s="17">
        <v>8.3699999999999992</v>
      </c>
      <c r="U4" s="16"/>
      <c r="V4" s="16"/>
      <c r="W4" s="18">
        <f>N4*SIN(R4*PI()/180)+U4*COS((R4)*PI()/180)</f>
        <v>500.24165135403899</v>
      </c>
      <c r="X4" s="18">
        <f>W4</f>
        <v>500.24165135403899</v>
      </c>
      <c r="Y4" s="18">
        <f>(N4*COS(R4*PI()/180)-U4*SIN(R4*PI()/180)-V4*Q4)*TAN(T4*PI()/180)+S4*Q4</f>
        <v>344.76651679484405</v>
      </c>
      <c r="Z4" s="18">
        <f>Y4</f>
        <v>344.76651679484405</v>
      </c>
      <c r="AA4" s="18">
        <f t="shared" ref="AA4:AA13" si="0">COS(R4*PI()/180-R5*PI()/180)-SIN(R4*PI()/180-R5*PI()/180)*TAN(T5*PI()/180)</f>
        <v>0.9555830885659472</v>
      </c>
      <c r="AB4" s="19"/>
      <c r="AC4" s="20">
        <v>1.1000000000000001</v>
      </c>
      <c r="AD4" s="18">
        <f>W4*AC4-Y4</f>
        <v>205.4992996945989</v>
      </c>
      <c r="AE4" s="21"/>
      <c r="AF4" s="21"/>
      <c r="AH4" s="1">
        <f>14.152+3.93</f>
        <v>18.082000000000001</v>
      </c>
    </row>
    <row r="5" spans="2:41" s="1" customFormat="1" ht="14.25" x14ac:dyDescent="0.2">
      <c r="B5" s="4"/>
      <c r="C5" s="14">
        <v>2</v>
      </c>
      <c r="D5" s="15">
        <f>F5+H5+J5+L5</f>
        <v>99.84</v>
      </c>
      <c r="E5" s="16">
        <v>20.420000000000002</v>
      </c>
      <c r="F5" s="17">
        <v>99.84</v>
      </c>
      <c r="G5" s="16"/>
      <c r="H5" s="16"/>
      <c r="I5" s="16"/>
      <c r="J5" s="16"/>
      <c r="K5" s="16"/>
      <c r="L5" s="16"/>
      <c r="M5" s="18"/>
      <c r="N5" s="28">
        <v>2037.58</v>
      </c>
      <c r="O5" s="29"/>
      <c r="P5" s="29"/>
      <c r="Q5" s="30">
        <v>17.05</v>
      </c>
      <c r="R5" s="30">
        <v>28.25</v>
      </c>
      <c r="S5" s="17">
        <v>13.38</v>
      </c>
      <c r="T5" s="17">
        <v>8.3699999999999992</v>
      </c>
      <c r="U5" s="16"/>
      <c r="V5" s="16"/>
      <c r="W5" s="18">
        <f>N5*SIN(R5*PI()/180)+U5*COS((R5)*PI()/180)</f>
        <v>964.42668746249308</v>
      </c>
      <c r="X5" s="18">
        <f>X4*AA4+W5</f>
        <v>1442.4491496927153</v>
      </c>
      <c r="Y5" s="18">
        <f>(N5*COS(R5*PI()/180)-U5*SIN(R5*PI()/180)-V5*Q5)*TAN(T5*PI()/180)+S5*Q5</f>
        <v>492.21439044055739</v>
      </c>
      <c r="Z5" s="18">
        <f>Z4*AA4+Y5</f>
        <v>821.66744339349793</v>
      </c>
      <c r="AA5" s="18">
        <f t="shared" si="0"/>
        <v>0.99457202234117958</v>
      </c>
      <c r="AB5" s="19"/>
      <c r="AC5" s="20">
        <v>1.1000000000000001</v>
      </c>
      <c r="AD5" s="18">
        <f>IF((AD4*AA4+W5*AC5-Y5)&lt;=0,0,AD4*AA4+W5*AC5-Y5)</f>
        <v>765.02662126848907</v>
      </c>
      <c r="AE5" s="21"/>
      <c r="AF5" s="18"/>
    </row>
    <row r="6" spans="2:41" s="1" customFormat="1" ht="14.25" x14ac:dyDescent="0.2">
      <c r="B6" s="4"/>
      <c r="C6" s="14">
        <v>3</v>
      </c>
      <c r="D6" s="15">
        <f>F6+H6+J6+L6</f>
        <v>143.22999999999999</v>
      </c>
      <c r="E6" s="16">
        <v>20.420000000000002</v>
      </c>
      <c r="F6" s="17">
        <v>143.22999999999999</v>
      </c>
      <c r="G6" s="16"/>
      <c r="H6" s="16"/>
      <c r="I6" s="16"/>
      <c r="J6" s="16"/>
      <c r="K6" s="16"/>
      <c r="L6" s="16"/>
      <c r="M6" s="18"/>
      <c r="N6" s="28">
        <v>2922.86</v>
      </c>
      <c r="O6" s="29"/>
      <c r="P6" s="29"/>
      <c r="Q6" s="30">
        <v>17.579999999999998</v>
      </c>
      <c r="R6" s="30">
        <v>26.35</v>
      </c>
      <c r="S6" s="17">
        <v>13.38</v>
      </c>
      <c r="T6" s="17">
        <v>8.3699999999999992</v>
      </c>
      <c r="U6" s="16"/>
      <c r="V6" s="16"/>
      <c r="W6" s="18">
        <f t="shared" ref="W5:W14" si="1">N6*SIN(R6*PI()/180)+U6*COS((R6)*PI()/180)</f>
        <v>1297.3212143056794</v>
      </c>
      <c r="X6" s="18">
        <f>X5*AA5+W6</f>
        <v>2731.940782239878</v>
      </c>
      <c r="Y6" s="18">
        <f>(N6*COS(R6*PI()/180)-U6*SIN(R6*PI()/180)-V6*Q6)*TAN(T6*PI()/180)+S6*Q6</f>
        <v>620.58505672372712</v>
      </c>
      <c r="Z6" s="18">
        <f t="shared" ref="Z5:Z14" si="2">Z5*AA5+Y6</f>
        <v>1437.792507591505</v>
      </c>
      <c r="AA6" s="18">
        <f t="shared" si="0"/>
        <v>0.9851371722018043</v>
      </c>
      <c r="AB6" s="19"/>
      <c r="AC6" s="20">
        <v>1.1000000000000001</v>
      </c>
      <c r="AD6" s="18">
        <f t="shared" ref="AD6:AD14" si="3">IF((AD5*AA5+W6*AC6-Y6)&lt;=0,0,AD5*AA5+W6*AC6-Y6)</f>
        <v>1567.3423528723611</v>
      </c>
      <c r="AE6" s="21"/>
      <c r="AF6" s="21"/>
    </row>
    <row r="7" spans="2:41" s="1" customFormat="1" ht="14.25" x14ac:dyDescent="0.2">
      <c r="B7" s="4"/>
      <c r="C7" s="14">
        <v>4</v>
      </c>
      <c r="D7" s="15">
        <f>F7+H7+J7+L7</f>
        <v>321.14</v>
      </c>
      <c r="E7" s="16">
        <v>20.420000000000002</v>
      </c>
      <c r="F7" s="17">
        <v>321.14</v>
      </c>
      <c r="G7" s="16"/>
      <c r="H7" s="16"/>
      <c r="I7" s="16"/>
      <c r="J7" s="16"/>
      <c r="K7" s="16"/>
      <c r="L7" s="16"/>
      <c r="M7" s="18"/>
      <c r="N7" s="28">
        <v>6635.75</v>
      </c>
      <c r="O7" s="29"/>
      <c r="P7" s="29"/>
      <c r="Q7" s="30">
        <v>29.2</v>
      </c>
      <c r="R7" s="30">
        <v>21.79</v>
      </c>
      <c r="S7" s="17">
        <v>13.38</v>
      </c>
      <c r="T7" s="17">
        <v>8.3699999999999992</v>
      </c>
      <c r="U7" s="16"/>
      <c r="V7" s="16"/>
      <c r="W7" s="18">
        <f>N7*SIN(R7*PI()/180)+U7*COS((R7)*PI()/180)</f>
        <v>2463.22874499611</v>
      </c>
      <c r="X7" s="18">
        <f t="shared" ref="X5:X14" si="4">X6*AA6+W7</f>
        <v>5154.5651618346892</v>
      </c>
      <c r="Y7" s="18">
        <f t="shared" ref="Y4:Y14" si="5">(N7*COS(R7*PI()/180)-U7*SIN(R7*PI()/180)-V7*Q7)*TAN(T7*PI()/180)+S7*Q7</f>
        <v>1297.2700160872982</v>
      </c>
      <c r="Z7" s="18">
        <f t="shared" si="2"/>
        <v>2713.6928612289348</v>
      </c>
      <c r="AA7" s="18">
        <f t="shared" si="0"/>
        <v>0.93577182435306361</v>
      </c>
      <c r="AB7" s="19"/>
      <c r="AC7" s="20">
        <v>1.1000000000000001</v>
      </c>
      <c r="AD7" s="18">
        <f t="shared" si="3"/>
        <v>2956.3288167892233</v>
      </c>
      <c r="AE7" s="21"/>
      <c r="AF7" s="21"/>
    </row>
    <row r="8" spans="2:41" s="1" customFormat="1" ht="14.25" x14ac:dyDescent="0.2">
      <c r="B8" s="4"/>
      <c r="C8" s="14">
        <v>5</v>
      </c>
      <c r="D8" s="15">
        <f>F8+H8+J8+L8</f>
        <v>292.95999999999998</v>
      </c>
      <c r="E8" s="16">
        <v>20.420000000000002</v>
      </c>
      <c r="F8" s="17">
        <v>292.95999999999998</v>
      </c>
      <c r="G8" s="16"/>
      <c r="H8" s="16"/>
      <c r="I8" s="16"/>
      <c r="J8" s="16"/>
      <c r="K8" s="16"/>
      <c r="L8" s="16"/>
      <c r="M8" s="18"/>
      <c r="N8" s="28">
        <v>5982.71</v>
      </c>
      <c r="O8" s="29"/>
      <c r="P8" s="29"/>
      <c r="Q8" s="30">
        <v>19.53</v>
      </c>
      <c r="R8" s="30">
        <v>7.95</v>
      </c>
      <c r="S8" s="17">
        <v>13.38</v>
      </c>
      <c r="T8" s="17">
        <v>8.3699999999999992</v>
      </c>
      <c r="U8" s="16"/>
      <c r="V8" s="16"/>
      <c r="W8" s="18">
        <f t="shared" si="1"/>
        <v>827.46189650746032</v>
      </c>
      <c r="X8" s="18">
        <f>X7*AA7+W8</f>
        <v>5650.9587417442526</v>
      </c>
      <c r="Y8" s="18">
        <f>(N8*COS(R8*PI()/180)-U8*SIN(R8*PI()/180)-V8*Q8)*TAN(T8*PI()/180)+S8*Q8</f>
        <v>1133.1006026249515</v>
      </c>
      <c r="Z8" s="18">
        <f t="shared" si="2"/>
        <v>3672.497922111037</v>
      </c>
      <c r="AA8" s="18">
        <f t="shared" si="0"/>
        <v>0.99845938348092811</v>
      </c>
      <c r="AB8" s="19"/>
      <c r="AC8" s="20">
        <v>1.1000000000000001</v>
      </c>
      <c r="AD8" s="18">
        <f t="shared" si="3"/>
        <v>2543.5566938076399</v>
      </c>
      <c r="AE8" s="21"/>
      <c r="AF8" s="21"/>
    </row>
    <row r="9" spans="2:41" s="1" customFormat="1" ht="14.25" x14ac:dyDescent="0.2">
      <c r="B9" s="4"/>
      <c r="C9" s="14">
        <v>6</v>
      </c>
      <c r="D9" s="15">
        <f>F9+H9+J9+L9</f>
        <v>191.46</v>
      </c>
      <c r="E9" s="16">
        <v>20.420000000000002</v>
      </c>
      <c r="F9" s="17">
        <v>191.46</v>
      </c>
      <c r="G9" s="16"/>
      <c r="H9" s="16"/>
      <c r="I9" s="16"/>
      <c r="J9" s="16"/>
      <c r="K9" s="16"/>
      <c r="L9" s="16"/>
      <c r="M9" s="18"/>
      <c r="N9" s="28">
        <v>3903.21</v>
      </c>
      <c r="O9" s="29"/>
      <c r="P9" s="29"/>
      <c r="Q9" s="30">
        <v>12.55</v>
      </c>
      <c r="R9" s="30">
        <v>7.37</v>
      </c>
      <c r="S9" s="17">
        <v>13.38</v>
      </c>
      <c r="T9" s="17">
        <v>8.3699999999999992</v>
      </c>
      <c r="U9" s="16"/>
      <c r="V9" s="16"/>
      <c r="W9" s="18">
        <f>N9*SIN(R9*PI()/180)+U9*COS((R9)*PI()/180)</f>
        <v>500.68949750046039</v>
      </c>
      <c r="X9" s="18">
        <f t="shared" si="4"/>
        <v>6142.942278858588</v>
      </c>
      <c r="Y9" s="18">
        <f t="shared" si="5"/>
        <v>737.4622881579005</v>
      </c>
      <c r="Z9" s="18">
        <f t="shared" si="2"/>
        <v>4404.3022993038758</v>
      </c>
      <c r="AA9" s="18">
        <f t="shared" si="0"/>
        <v>0.99942768264942328</v>
      </c>
      <c r="AB9" s="19"/>
      <c r="AC9" s="20">
        <v>1.1000000000000001</v>
      </c>
      <c r="AD9" s="18">
        <f t="shared" si="3"/>
        <v>2352.9342074405695</v>
      </c>
      <c r="AE9" s="21"/>
      <c r="AF9" s="21"/>
    </row>
    <row r="10" spans="2:41" s="1" customFormat="1" ht="14.25" x14ac:dyDescent="0.2">
      <c r="B10" s="4"/>
      <c r="C10" s="14">
        <v>7</v>
      </c>
      <c r="D10" s="15">
        <f>F10+H10+J10+L10</f>
        <v>211.25</v>
      </c>
      <c r="E10" s="16">
        <v>20.420000000000002</v>
      </c>
      <c r="F10" s="17">
        <v>211.25</v>
      </c>
      <c r="G10" s="16"/>
      <c r="H10" s="16"/>
      <c r="I10" s="16"/>
      <c r="J10" s="16"/>
      <c r="K10" s="16"/>
      <c r="L10" s="16"/>
      <c r="M10" s="18"/>
      <c r="N10" s="28">
        <v>4312.22</v>
      </c>
      <c r="O10" s="29"/>
      <c r="P10" s="29"/>
      <c r="Q10" s="30">
        <v>13.66</v>
      </c>
      <c r="R10" s="30">
        <v>7.15</v>
      </c>
      <c r="S10" s="17">
        <v>13.38</v>
      </c>
      <c r="T10" s="17">
        <v>8.3699999999999992</v>
      </c>
      <c r="U10" s="16"/>
      <c r="V10" s="16"/>
      <c r="W10" s="18">
        <f t="shared" si="1"/>
        <v>536.73082260721071</v>
      </c>
      <c r="X10" s="18">
        <f>X9*AA9+W10</f>
        <v>6676.1573890160171</v>
      </c>
      <c r="Y10" s="18">
        <f t="shared" si="5"/>
        <v>812.30331752906045</v>
      </c>
      <c r="Z10" s="18">
        <f t="shared" si="2"/>
        <v>5214.084958209859</v>
      </c>
      <c r="AA10" s="18">
        <f t="shared" si="0"/>
        <v>0.98521606022099462</v>
      </c>
      <c r="AB10" s="19"/>
      <c r="AC10" s="20">
        <v>1.1000000000000001</v>
      </c>
      <c r="AD10" s="18">
        <f t="shared" si="3"/>
        <v>2129.688169707757</v>
      </c>
      <c r="AE10" s="21"/>
      <c r="AF10" s="21"/>
    </row>
    <row r="11" spans="2:41" s="1" customFormat="1" ht="14.25" x14ac:dyDescent="0.2">
      <c r="B11" s="4"/>
      <c r="C11" s="14">
        <v>8</v>
      </c>
      <c r="D11" s="15">
        <f>F11+H11+J11+L11</f>
        <v>182.92</v>
      </c>
      <c r="E11" s="16">
        <v>20.420000000000002</v>
      </c>
      <c r="F11" s="17">
        <v>182.92</v>
      </c>
      <c r="G11" s="16"/>
      <c r="H11" s="16"/>
      <c r="I11" s="16"/>
      <c r="J11" s="16"/>
      <c r="K11" s="16"/>
      <c r="L11" s="16"/>
      <c r="M11" s="18"/>
      <c r="N11" s="28">
        <v>3734.86</v>
      </c>
      <c r="O11" s="29"/>
      <c r="P11" s="29"/>
      <c r="Q11" s="30">
        <v>12.93</v>
      </c>
      <c r="R11" s="31">
        <v>2.61</v>
      </c>
      <c r="S11" s="17">
        <v>13.38</v>
      </c>
      <c r="T11" s="17">
        <v>8.3699999999999992</v>
      </c>
      <c r="U11" s="16"/>
      <c r="V11" s="16"/>
      <c r="W11" s="18">
        <f>N11*SIN(R11*PI()/180)+U11*COS((R11)*PI()/180)</f>
        <v>170.07559226134703</v>
      </c>
      <c r="X11" s="18">
        <f t="shared" si="4"/>
        <v>6747.5330724829892</v>
      </c>
      <c r="Y11" s="18">
        <f t="shared" si="5"/>
        <v>721.95143585965889</v>
      </c>
      <c r="Z11" s="18">
        <f t="shared" si="2"/>
        <v>5858.9516760447259</v>
      </c>
      <c r="AA11" s="18">
        <f t="shared" si="0"/>
        <v>1.0009292805532335</v>
      </c>
      <c r="AB11" s="19"/>
      <c r="AC11" s="20">
        <v>1.1000000000000001</v>
      </c>
      <c r="AD11" s="18">
        <f t="shared" si="3"/>
        <v>1563.3347036865603</v>
      </c>
      <c r="AE11" s="21"/>
      <c r="AF11" s="21"/>
    </row>
    <row r="12" spans="2:41" s="1" customFormat="1" ht="14.25" x14ac:dyDescent="0.2">
      <c r="B12" s="4"/>
      <c r="C12" s="14">
        <v>9</v>
      </c>
      <c r="D12" s="15">
        <f>F12+H12+J12+L12</f>
        <v>196.61</v>
      </c>
      <c r="E12" s="16">
        <v>20.420000000000002</v>
      </c>
      <c r="F12" s="17">
        <v>196.61</v>
      </c>
      <c r="G12" s="16"/>
      <c r="H12" s="16"/>
      <c r="I12" s="16"/>
      <c r="J12" s="16"/>
      <c r="K12" s="16"/>
      <c r="L12" s="16"/>
      <c r="M12" s="18"/>
      <c r="N12" s="28">
        <v>4024.39</v>
      </c>
      <c r="O12" s="29"/>
      <c r="P12" s="29"/>
      <c r="Q12" s="30">
        <v>16.75</v>
      </c>
      <c r="R12" s="30">
        <v>2.98</v>
      </c>
      <c r="S12" s="17">
        <v>13.38</v>
      </c>
      <c r="T12" s="17">
        <v>8.3699999999999992</v>
      </c>
      <c r="U12" s="16"/>
      <c r="V12" s="16"/>
      <c r="W12" s="18">
        <f t="shared" si="1"/>
        <v>209.21743422183798</v>
      </c>
      <c r="X12" s="18">
        <f>X11*AA11+W12</f>
        <v>6963.0208579713853</v>
      </c>
      <c r="Y12" s="18">
        <f t="shared" si="5"/>
        <v>815.43156993860248</v>
      </c>
      <c r="Z12" s="18">
        <f t="shared" si="2"/>
        <v>6679.8278558382117</v>
      </c>
      <c r="AA12" s="18">
        <f t="shared" si="0"/>
        <v>1.0000256641783756</v>
      </c>
      <c r="AB12" s="19"/>
      <c r="AC12" s="20">
        <v>1.1000000000000001</v>
      </c>
      <c r="AD12" s="18">
        <f t="shared" si="3"/>
        <v>979.49508793031055</v>
      </c>
      <c r="AE12" s="21"/>
      <c r="AF12" s="21"/>
    </row>
    <row r="13" spans="2:41" s="1" customFormat="1" ht="14.25" x14ac:dyDescent="0.2">
      <c r="B13" s="4"/>
      <c r="C13" s="14">
        <v>10</v>
      </c>
      <c r="D13" s="15">
        <f>F13+H13+J13+L13</f>
        <v>167.74</v>
      </c>
      <c r="E13" s="16">
        <v>20.420000000000002</v>
      </c>
      <c r="F13" s="17">
        <v>167.74</v>
      </c>
      <c r="G13" s="16"/>
      <c r="H13" s="16"/>
      <c r="I13" s="16"/>
      <c r="J13" s="16"/>
      <c r="K13" s="16"/>
      <c r="L13" s="16"/>
      <c r="M13" s="18"/>
      <c r="N13" s="28">
        <v>3400.23</v>
      </c>
      <c r="O13" s="29"/>
      <c r="P13" s="29"/>
      <c r="Q13" s="30">
        <v>19.34</v>
      </c>
      <c r="R13" s="30">
        <v>2.99</v>
      </c>
      <c r="S13" s="17">
        <v>13.38</v>
      </c>
      <c r="T13" s="17">
        <v>8.3699999999999992</v>
      </c>
      <c r="U13" s="16"/>
      <c r="V13" s="16"/>
      <c r="W13" s="18">
        <f>N13*SIN(R13*PI()/180)+U13*COS((R13)*PI()/180)</f>
        <v>177.36164700576583</v>
      </c>
      <c r="X13" s="18">
        <f>X12*AA12+W13</f>
        <v>7140.5612051864828</v>
      </c>
      <c r="Y13" s="18">
        <f t="shared" si="5"/>
        <v>758.37138616259199</v>
      </c>
      <c r="Z13" s="18">
        <f t="shared" si="2"/>
        <v>7438.3706742944141</v>
      </c>
      <c r="AA13" s="18">
        <f t="shared" si="0"/>
        <v>0.99482266846703038</v>
      </c>
      <c r="AB13" s="19"/>
      <c r="AC13" s="20">
        <v>1.1000000000000001</v>
      </c>
      <c r="AD13" s="18">
        <f t="shared" si="3"/>
        <v>416.24665141071569</v>
      </c>
      <c r="AE13" s="21"/>
      <c r="AF13" s="21"/>
      <c r="AG13" s="22"/>
    </row>
    <row r="14" spans="2:41" s="1" customFormat="1" ht="14.25" x14ac:dyDescent="0.2">
      <c r="B14" s="4"/>
      <c r="C14" s="14">
        <v>11</v>
      </c>
      <c r="D14" s="15">
        <f>F14+H14+J14+L14</f>
        <v>44.68</v>
      </c>
      <c r="E14" s="16">
        <v>20.420000000000002</v>
      </c>
      <c r="F14" s="17">
        <v>44.68</v>
      </c>
      <c r="G14" s="16"/>
      <c r="H14" s="16"/>
      <c r="I14" s="16"/>
      <c r="J14" s="16"/>
      <c r="K14" s="16"/>
      <c r="L14" s="16"/>
      <c r="M14" s="18"/>
      <c r="N14" s="28">
        <v>912.33</v>
      </c>
      <c r="O14" s="29"/>
      <c r="P14" s="29"/>
      <c r="Q14" s="30">
        <v>12.28</v>
      </c>
      <c r="R14" s="30">
        <v>1.17</v>
      </c>
      <c r="S14" s="17">
        <v>13.38</v>
      </c>
      <c r="T14" s="17">
        <v>8.3699999999999992</v>
      </c>
      <c r="U14" s="16"/>
      <c r="V14" s="16"/>
      <c r="W14" s="18">
        <f>N14*SIN(R14*PI()/180)+U14*COS((R14)*PI()/180)</f>
        <v>18.628805230379299</v>
      </c>
      <c r="X14" s="18">
        <f>X13*AA13+W14</f>
        <v>7122.2209577261501</v>
      </c>
      <c r="Y14" s="18">
        <f t="shared" si="5"/>
        <v>298.51151373236053</v>
      </c>
      <c r="Z14" s="18">
        <f t="shared" si="2"/>
        <v>7698.3712769808335</v>
      </c>
      <c r="AA14" s="18"/>
      <c r="AB14" s="19">
        <f>Z14/X14</f>
        <v>1.080894754975227</v>
      </c>
      <c r="AC14" s="20">
        <v>1.1000000000000001</v>
      </c>
      <c r="AD14" s="18">
        <f t="shared" si="3"/>
        <v>136.07177651793069</v>
      </c>
      <c r="AE14" s="21"/>
      <c r="AF14" s="21"/>
    </row>
    <row r="20" spans="3:17" x14ac:dyDescent="0.15">
      <c r="C20" s="32" t="s">
        <v>36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 t="s">
        <v>37</v>
      </c>
      <c r="O20" s="32"/>
      <c r="P20" s="32"/>
      <c r="Q20" s="32" t="s">
        <v>38</v>
      </c>
    </row>
    <row r="21" spans="3:17" x14ac:dyDescent="0.15">
      <c r="C21" s="33">
        <v>205.42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>
        <v>205.4992996945989</v>
      </c>
      <c r="O21" s="33"/>
      <c r="P21" s="33"/>
      <c r="Q21" s="34">
        <f>ABS((N21-C21)/N21)</f>
        <v>3.8588790675572391E-4</v>
      </c>
    </row>
    <row r="22" spans="3:17" x14ac:dyDescent="0.15">
      <c r="C22" s="33">
        <v>764.89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>
        <v>765.02662126848907</v>
      </c>
      <c r="O22" s="33"/>
      <c r="P22" s="33"/>
      <c r="Q22" s="34">
        <f t="shared" ref="Q22:Q31" si="6">ABS((N22-C22)/N22)</f>
        <v>1.7858367890851733E-4</v>
      </c>
    </row>
    <row r="23" spans="3:17" x14ac:dyDescent="0.15">
      <c r="C23" s="33">
        <v>1567.06</v>
      </c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>
        <v>1567.3423528723611</v>
      </c>
      <c r="O23" s="33"/>
      <c r="P23" s="33"/>
      <c r="Q23" s="34">
        <f t="shared" si="6"/>
        <v>1.8014754201190784E-4</v>
      </c>
    </row>
    <row r="24" spans="3:17" x14ac:dyDescent="0.15">
      <c r="C24" s="33">
        <v>2956.66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>
        <v>2956.3288167892233</v>
      </c>
      <c r="O24" s="33"/>
      <c r="P24" s="33"/>
      <c r="Q24" s="34">
        <f t="shared" si="6"/>
        <v>1.1202516069786573E-4</v>
      </c>
    </row>
    <row r="25" spans="3:17" x14ac:dyDescent="0.15">
      <c r="C25" s="33">
        <v>2543.48</v>
      </c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>
        <v>2543.5566938076399</v>
      </c>
      <c r="O25" s="33"/>
      <c r="P25" s="33"/>
      <c r="Q25" s="34">
        <f t="shared" si="6"/>
        <v>3.0152191152894713E-5</v>
      </c>
    </row>
    <row r="26" spans="3:17" x14ac:dyDescent="0.15">
      <c r="C26" s="33">
        <v>2352.6999999999998</v>
      </c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>
        <v>2352.9342074405695</v>
      </c>
      <c r="O26" s="33"/>
      <c r="P26" s="33"/>
      <c r="Q26" s="34">
        <f t="shared" si="6"/>
        <v>9.9538457058866891E-5</v>
      </c>
    </row>
    <row r="27" spans="3:17" x14ac:dyDescent="0.15">
      <c r="C27" s="33">
        <v>2129.6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>
        <v>2129.688169707757</v>
      </c>
      <c r="O27" s="33"/>
      <c r="P27" s="33"/>
      <c r="Q27" s="34">
        <f t="shared" si="6"/>
        <v>4.1400289963182558E-5</v>
      </c>
    </row>
    <row r="28" spans="3:17" x14ac:dyDescent="0.15">
      <c r="C28" s="33">
        <v>1563.57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>
        <v>1563.3347036865603</v>
      </c>
      <c r="O28" s="33"/>
      <c r="P28" s="33"/>
      <c r="Q28" s="34">
        <f t="shared" si="6"/>
        <v>1.5050923700779786E-4</v>
      </c>
    </row>
    <row r="29" spans="3:17" x14ac:dyDescent="0.15">
      <c r="C29" s="33">
        <v>979.42</v>
      </c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>
        <v>979.49508793031055</v>
      </c>
      <c r="O29" s="33"/>
      <c r="P29" s="33"/>
      <c r="Q29" s="34">
        <f t="shared" si="6"/>
        <v>7.6659833454856453E-5</v>
      </c>
    </row>
    <row r="30" spans="3:17" x14ac:dyDescent="0.15">
      <c r="C30" s="33">
        <v>416.51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>
        <v>416.24665141071569</v>
      </c>
      <c r="O30" s="33"/>
      <c r="P30" s="33"/>
      <c r="Q30" s="34">
        <f t="shared" si="6"/>
        <v>6.3267437321545253E-4</v>
      </c>
    </row>
    <row r="31" spans="3:17" x14ac:dyDescent="0.15">
      <c r="C31" s="33">
        <v>136.22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>
        <v>136.07177651793069</v>
      </c>
      <c r="O31" s="33"/>
      <c r="P31" s="33"/>
      <c r="Q31" s="34">
        <f t="shared" si="6"/>
        <v>1.08930364446135E-3</v>
      </c>
    </row>
  </sheetData>
  <mergeCells count="22">
    <mergeCell ref="Z2:Z3"/>
    <mergeCell ref="AA2:AA3"/>
    <mergeCell ref="AB2:AB3"/>
    <mergeCell ref="AC2:AC3"/>
    <mergeCell ref="AD2:AD3"/>
    <mergeCell ref="B4:B14"/>
    <mergeCell ref="S2:T2"/>
    <mergeCell ref="U2:U3"/>
    <mergeCell ref="V2:V3"/>
    <mergeCell ref="W2:W3"/>
    <mergeCell ref="X2:X3"/>
    <mergeCell ref="Y2:Y3"/>
    <mergeCell ref="B1:AD1"/>
    <mergeCell ref="B2:B3"/>
    <mergeCell ref="C2:C3"/>
    <mergeCell ref="D2:D3"/>
    <mergeCell ref="E2:H2"/>
    <mergeCell ref="I2:L2"/>
    <mergeCell ref="M2:M3"/>
    <mergeCell ref="N2:N3"/>
    <mergeCell ref="O2:P2"/>
    <mergeCell ref="Q2:R2"/>
  </mergeCells>
  <phoneticPr fontId="2" type="noConversion"/>
  <conditionalFormatting sqref="F4:F14 Q4:T14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2018-07-23T10:40:43Z</dcterms:modified>
</cp:coreProperties>
</file>